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20" windowHeight="10308" activeTab="1"/>
  </bookViews>
  <sheets>
    <sheet name="528i" sheetId="1" r:id="rId1"/>
    <sheet name="528i Deal" sheetId="2" r:id="rId2"/>
  </sheets>
  <definedNames/>
  <calcPr fullCalcOnLoad="1"/>
</workbook>
</file>

<file path=xl/sharedStrings.xml><?xml version="1.0" encoding="utf-8"?>
<sst xmlns="http://schemas.openxmlformats.org/spreadsheetml/2006/main" count="86" uniqueCount="76">
  <si>
    <t>Options</t>
  </si>
  <si>
    <t>Invoice</t>
  </si>
  <si>
    <t>MSRP</t>
  </si>
  <si>
    <t>Base Price</t>
  </si>
  <si>
    <t>Shipping</t>
  </si>
  <si>
    <t>5-Speed</t>
  </si>
  <si>
    <t>Total</t>
  </si>
  <si>
    <t>Prepared:</t>
  </si>
  <si>
    <t>Markup</t>
  </si>
  <si>
    <t>Power Moonroof</t>
  </si>
  <si>
    <t>Xenon Headlights</t>
  </si>
  <si>
    <t>Sport/Premium Pkg</t>
  </si>
  <si>
    <t>Split-Rear seat</t>
  </si>
  <si>
    <t>Heated Front Seats</t>
  </si>
  <si>
    <t>Titanium Silver/Black Lthr</t>
  </si>
  <si>
    <t>Customer</t>
  </si>
  <si>
    <t>Address</t>
  </si>
  <si>
    <t>City</t>
  </si>
  <si>
    <t>1st Pm</t>
  </si>
  <si>
    <t>CAP PRICE</t>
  </si>
  <si>
    <t>AFT MKT</t>
  </si>
  <si>
    <t>BANK DOC FEE</t>
  </si>
  <si>
    <t>DLR DOC FEE</t>
  </si>
  <si>
    <t>WARRANTY</t>
  </si>
  <si>
    <t>GAP INS</t>
  </si>
  <si>
    <t>MAINT</t>
  </si>
  <si>
    <t>LUXURY TAX</t>
  </si>
  <si>
    <t>CAP COST</t>
  </si>
  <si>
    <t>CAP REDUCTION</t>
  </si>
  <si>
    <t>NET TRADE</t>
  </si>
  <si>
    <t>TOTAL CAP RED.</t>
  </si>
  <si>
    <t>NET CAP COST</t>
  </si>
  <si>
    <t>VIN#</t>
  </si>
  <si>
    <t>SALES MGR.</t>
  </si>
  <si>
    <t>YEAR</t>
  </si>
  <si>
    <t>MAKE</t>
  </si>
  <si>
    <t>MODEL</t>
  </si>
  <si>
    <t>LEASE DATE</t>
  </si>
  <si>
    <t>NET CAP.</t>
  </si>
  <si>
    <t>NET RESIDUAL</t>
  </si>
  <si>
    <t>TOT DEP.</t>
  </si>
  <si>
    <t>MO. RENT</t>
  </si>
  <si>
    <t>MO. DEP.</t>
  </si>
  <si>
    <t>MO. PMT.</t>
  </si>
  <si>
    <t>MO. TAX</t>
  </si>
  <si>
    <t>MONEY FACTOR</t>
  </si>
  <si>
    <t>TERM</t>
  </si>
  <si>
    <t>TAX ON DOWN</t>
  </si>
  <si>
    <t>SEC DEPOSIT</t>
  </si>
  <si>
    <t>1ST PAYMENT</t>
  </si>
  <si>
    <t>DMV FEE</t>
  </si>
  <si>
    <t>ADV PMTS</t>
  </si>
  <si>
    <t>TAX ON PMTS</t>
  </si>
  <si>
    <t>TOTAL DRIVE OFF</t>
  </si>
  <si>
    <t>TOTAL TAX</t>
  </si>
  <si>
    <t>LEASE PAYMENT</t>
  </si>
  <si>
    <t>BMW</t>
  </si>
  <si>
    <t>USE TAX</t>
  </si>
  <si>
    <t>CAP RED TAX</t>
  </si>
  <si>
    <t>EST. LICENSE</t>
  </si>
  <si>
    <t>TOTAL TAX + LIC.</t>
  </si>
  <si>
    <t>TOTAL PMTS+RES.</t>
  </si>
  <si>
    <t>INVOICE</t>
  </si>
  <si>
    <t xml:space="preserve">           *** TOTALS ***</t>
  </si>
  <si>
    <t xml:space="preserve">     *** LEASE PAYMENTS ***</t>
  </si>
  <si>
    <t>LIFE INS</t>
  </si>
  <si>
    <t>A &amp; H</t>
  </si>
  <si>
    <t xml:space="preserve">           *** COST PER DAY ***</t>
  </si>
  <si>
    <t>%</t>
  </si>
  <si>
    <t>of Invoice</t>
  </si>
  <si>
    <t>Profit Defined</t>
  </si>
  <si>
    <t>Over Invoice</t>
  </si>
  <si>
    <t>528i</t>
  </si>
  <si>
    <t>SALESPERSON</t>
  </si>
  <si>
    <t>2000 BMW 528i 5-speed</t>
  </si>
  <si>
    <t>14-Way Sport Seats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</si>
</sst>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"/>
    <numFmt numFmtId="178" formatCode="0.0"/>
    <numFmt numFmtId="179" formatCode="0.000%"/>
    <numFmt numFmtId="180" formatCode="0.00000"/>
    <numFmt numFmtId="181" formatCode="0.0000"/>
    <numFmt numFmtId="182" formatCode="0.000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0" fillId="0" borderId="0" xfId="17" applyNumberFormat="1" applyAlignment="1">
      <alignment/>
    </xf>
    <xf numFmtId="44" fontId="0" fillId="0" borderId="0" xfId="17" applyNumberFormat="1" applyAlignment="1">
      <alignment/>
    </xf>
    <xf numFmtId="44" fontId="1" fillId="0" borderId="0" xfId="17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17" applyNumberFormat="1" applyAlignment="1">
      <alignment/>
    </xf>
    <xf numFmtId="0" fontId="0" fillId="0" borderId="0" xfId="0" applyFont="1" applyAlignment="1">
      <alignment/>
    </xf>
    <xf numFmtId="44" fontId="0" fillId="0" borderId="0" xfId="17" applyNumberFormat="1" applyFont="1" applyAlignment="1">
      <alignment/>
    </xf>
    <xf numFmtId="10" fontId="0" fillId="0" borderId="0" xfId="0" applyNumberFormat="1" applyAlignment="1">
      <alignment horizontal="left"/>
    </xf>
    <xf numFmtId="2" fontId="0" fillId="0" borderId="0" xfId="19" applyNumberFormat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5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9" fontId="0" fillId="0" borderId="0" xfId="19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7" sqref="F7"/>
    </sheetView>
  </sheetViews>
  <sheetFormatPr defaultColWidth="9.140625" defaultRowHeight="12.75"/>
  <cols>
    <col min="1" max="1" width="21.7109375" style="0" bestFit="1" customWidth="1"/>
    <col min="2" max="2" width="11.421875" style="0" bestFit="1" customWidth="1"/>
    <col min="3" max="3" width="12.421875" style="0" bestFit="1" customWidth="1"/>
    <col min="4" max="4" width="2.8515625" style="0" customWidth="1"/>
    <col min="5" max="6" width="16.00390625" style="0" bestFit="1" customWidth="1"/>
    <col min="7" max="7" width="16.140625" style="0" bestFit="1" customWidth="1"/>
  </cols>
  <sheetData>
    <row r="1" spans="1:7" s="11" customFormat="1" ht="15">
      <c r="A1" s="11" t="s">
        <v>74</v>
      </c>
      <c r="F1" s="11" t="s">
        <v>7</v>
      </c>
      <c r="G1" s="12">
        <f ca="1">NOW()</f>
        <v>36536.88429583333</v>
      </c>
    </row>
    <row r="3" spans="1:6" s="1" customFormat="1" ht="12.75">
      <c r="A3" s="1" t="s">
        <v>0</v>
      </c>
      <c r="B3" s="10" t="s">
        <v>1</v>
      </c>
      <c r="C3" s="10" t="s">
        <v>2</v>
      </c>
      <c r="E3" s="10" t="s">
        <v>8</v>
      </c>
      <c r="F3" s="10"/>
    </row>
    <row r="4" spans="1:6" ht="12.75">
      <c r="A4" t="s">
        <v>3</v>
      </c>
      <c r="B4" s="2">
        <v>35170</v>
      </c>
      <c r="C4" s="2">
        <v>38900</v>
      </c>
      <c r="E4" s="13">
        <f aca="true" t="shared" si="0" ref="E4:E13">C4-B4</f>
        <v>3730</v>
      </c>
      <c r="F4" s="41"/>
    </row>
    <row r="5" spans="1:6" ht="12.75">
      <c r="A5" t="s">
        <v>4</v>
      </c>
      <c r="B5" s="2">
        <v>570</v>
      </c>
      <c r="C5" s="2">
        <v>570</v>
      </c>
      <c r="E5" s="13">
        <f t="shared" si="0"/>
        <v>0</v>
      </c>
      <c r="F5" s="41"/>
    </row>
    <row r="6" spans="1:6" ht="12.75">
      <c r="A6" t="s">
        <v>5</v>
      </c>
      <c r="B6" s="2">
        <v>0</v>
      </c>
      <c r="C6" s="2">
        <v>0</v>
      </c>
      <c r="E6" s="13">
        <f t="shared" si="0"/>
        <v>0</v>
      </c>
      <c r="F6" s="41"/>
    </row>
    <row r="7" spans="1:6" ht="12.75">
      <c r="A7" t="s">
        <v>14</v>
      </c>
      <c r="B7" s="2">
        <v>0</v>
      </c>
      <c r="C7" s="2">
        <v>0</v>
      </c>
      <c r="E7" s="13">
        <f t="shared" si="0"/>
        <v>0</v>
      </c>
      <c r="F7" s="41"/>
    </row>
    <row r="8" spans="1:6" ht="12.75">
      <c r="A8" s="16" t="s">
        <v>11</v>
      </c>
      <c r="B8" s="2">
        <v>3610</v>
      </c>
      <c r="C8" s="2">
        <v>4300</v>
      </c>
      <c r="E8" s="13">
        <f t="shared" si="0"/>
        <v>690</v>
      </c>
      <c r="F8" s="41"/>
    </row>
    <row r="9" spans="1:6" ht="12.75">
      <c r="A9" t="s">
        <v>75</v>
      </c>
      <c r="B9" s="2">
        <v>405</v>
      </c>
      <c r="C9" s="2">
        <v>475</v>
      </c>
      <c r="E9" s="13">
        <f t="shared" si="0"/>
        <v>70</v>
      </c>
      <c r="F9" s="41"/>
    </row>
    <row r="10" spans="1:6" ht="12.75">
      <c r="A10" t="s">
        <v>9</v>
      </c>
      <c r="B10" s="2">
        <v>870</v>
      </c>
      <c r="C10" s="2">
        <v>1050</v>
      </c>
      <c r="E10" s="13">
        <f t="shared" si="0"/>
        <v>180</v>
      </c>
      <c r="F10" s="41"/>
    </row>
    <row r="11" spans="1:6" ht="12.75">
      <c r="A11" t="s">
        <v>12</v>
      </c>
      <c r="B11" s="2">
        <v>475</v>
      </c>
      <c r="C11" s="2">
        <v>575</v>
      </c>
      <c r="E11" s="13">
        <f t="shared" si="0"/>
        <v>100</v>
      </c>
      <c r="F11" s="41"/>
    </row>
    <row r="12" spans="1:6" ht="12.75">
      <c r="A12" t="s">
        <v>13</v>
      </c>
      <c r="B12" s="2">
        <v>415</v>
      </c>
      <c r="C12" s="2">
        <v>500</v>
      </c>
      <c r="E12" s="13">
        <f t="shared" si="0"/>
        <v>85</v>
      </c>
      <c r="F12" s="41"/>
    </row>
    <row r="13" spans="1:6" ht="12.75">
      <c r="A13" t="s">
        <v>10</v>
      </c>
      <c r="B13" s="2">
        <v>415</v>
      </c>
      <c r="C13" s="2">
        <v>500</v>
      </c>
      <c r="E13" s="13">
        <f t="shared" si="0"/>
        <v>85</v>
      </c>
      <c r="F13" s="41"/>
    </row>
    <row r="14" spans="1:6" s="1" customFormat="1" ht="12.75">
      <c r="A14" s="1" t="s">
        <v>6</v>
      </c>
      <c r="B14" s="7">
        <f>SUM(B4:B13)</f>
        <v>41930</v>
      </c>
      <c r="C14" s="7">
        <f>SUM(C4:C13)</f>
        <v>46870</v>
      </c>
      <c r="E14" s="4">
        <f>C14-B14</f>
        <v>4940</v>
      </c>
      <c r="F14" s="10"/>
    </row>
    <row r="16" s="1" customFormat="1" ht="12.75"/>
    <row r="17" spans="2:5" ht="12.75">
      <c r="B17" s="3"/>
      <c r="E17" s="2"/>
    </row>
    <row r="18" spans="2:5" ht="12.75">
      <c r="B18" s="3"/>
      <c r="E18" s="2"/>
    </row>
    <row r="19" spans="2:6" ht="12.75">
      <c r="B19" s="3"/>
      <c r="C19" s="8"/>
      <c r="E19" s="3"/>
      <c r="F19" s="3"/>
    </row>
    <row r="20" s="1" customFormat="1" ht="12.75">
      <c r="B20" s="4"/>
    </row>
    <row r="22" s="1" customFormat="1" ht="12.75"/>
    <row r="23" spans="2:5" ht="12.75">
      <c r="B23" s="3"/>
      <c r="E23" s="3"/>
    </row>
    <row r="24" ht="12.75">
      <c r="B24" s="3"/>
    </row>
    <row r="25" spans="2:6" ht="12.75">
      <c r="B25" s="3"/>
      <c r="C25" s="3"/>
      <c r="F25" s="14"/>
    </row>
    <row r="26" spans="2:6" ht="12.75">
      <c r="B26" s="15"/>
      <c r="C26" s="19"/>
      <c r="D26" s="9"/>
      <c r="F26" s="6"/>
    </row>
    <row r="27" spans="2:6" ht="12.75">
      <c r="B27" s="5"/>
      <c r="F27" s="6"/>
    </row>
    <row r="28" spans="2:6" ht="12.75">
      <c r="B28" s="5"/>
      <c r="E28" s="16"/>
      <c r="F28" s="17"/>
    </row>
    <row r="29" spans="2:7" ht="12.75">
      <c r="B29" s="6"/>
      <c r="F29" s="3"/>
      <c r="G29" s="18"/>
    </row>
    <row r="30" spans="5:6" ht="12.75">
      <c r="E30" s="1"/>
      <c r="F30" s="4"/>
    </row>
    <row r="31" spans="1:2" ht="12.75">
      <c r="A31" s="1"/>
      <c r="B31" s="4"/>
    </row>
    <row r="32" spans="2:5" ht="12.75">
      <c r="B32" s="3"/>
      <c r="C32" s="1"/>
      <c r="E32" s="3"/>
    </row>
    <row r="33" spans="2:5" ht="12.75">
      <c r="B33" s="3"/>
      <c r="E33" s="2"/>
    </row>
    <row r="34" spans="1:2" s="1" customFormat="1" ht="12.75">
      <c r="A34"/>
      <c r="B34" s="2"/>
    </row>
    <row r="35" ht="12.75">
      <c r="B35" s="2"/>
    </row>
    <row r="36" ht="12.75">
      <c r="B36" s="3"/>
    </row>
    <row r="37" ht="12.75">
      <c r="B37" s="3"/>
    </row>
    <row r="38" spans="1:2" ht="12.75">
      <c r="A38" s="1"/>
      <c r="B38" s="4"/>
    </row>
  </sheetData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5.7109375" style="16" bestFit="1" customWidth="1"/>
    <col min="2" max="2" width="10.57421875" style="16" customWidth="1"/>
    <col min="3" max="3" width="11.57421875" style="16" customWidth="1"/>
    <col min="4" max="4" width="17.421875" style="16" bestFit="1" customWidth="1"/>
    <col min="5" max="5" width="8.8515625" style="16" customWidth="1"/>
    <col min="6" max="6" width="5.28125" style="16" bestFit="1" customWidth="1"/>
    <col min="7" max="7" width="12.28125" style="16" bestFit="1" customWidth="1"/>
    <col min="8" max="16384" width="8.8515625" style="16" customWidth="1"/>
  </cols>
  <sheetData>
    <row r="1" spans="1:9" ht="12.75">
      <c r="A1" s="22" t="s">
        <v>15</v>
      </c>
      <c r="B1" s="23"/>
      <c r="C1" s="24"/>
      <c r="D1" s="23" t="s">
        <v>34</v>
      </c>
      <c r="E1" s="25">
        <v>2000</v>
      </c>
      <c r="F1" s="23"/>
      <c r="G1" s="22" t="s">
        <v>22</v>
      </c>
      <c r="H1" s="23"/>
      <c r="I1" s="24"/>
    </row>
    <row r="2" spans="1:9" ht="12.75">
      <c r="A2" s="26" t="s">
        <v>16</v>
      </c>
      <c r="B2" s="27"/>
      <c r="C2" s="28"/>
      <c r="D2" s="27" t="s">
        <v>35</v>
      </c>
      <c r="E2" s="29" t="s">
        <v>56</v>
      </c>
      <c r="F2" s="27"/>
      <c r="G2" s="26" t="s">
        <v>28</v>
      </c>
      <c r="H2" s="27"/>
      <c r="I2" s="30">
        <f>B15</f>
        <v>0</v>
      </c>
    </row>
    <row r="3" spans="1:9" ht="12.75">
      <c r="A3" s="26" t="s">
        <v>17</v>
      </c>
      <c r="B3" s="27"/>
      <c r="C3" s="28"/>
      <c r="D3" s="27" t="s">
        <v>36</v>
      </c>
      <c r="E3" s="29" t="s">
        <v>72</v>
      </c>
      <c r="F3" s="27"/>
      <c r="G3" s="26" t="s">
        <v>29</v>
      </c>
      <c r="H3" s="27"/>
      <c r="I3" s="30">
        <f>B16</f>
        <v>0</v>
      </c>
    </row>
    <row r="4" spans="1:9" ht="12.75">
      <c r="A4" s="26" t="s">
        <v>18</v>
      </c>
      <c r="B4" s="20">
        <f>E15</f>
        <v>602.4821075622222</v>
      </c>
      <c r="C4" s="28"/>
      <c r="D4" s="27" t="s">
        <v>37</v>
      </c>
      <c r="E4" s="31">
        <f ca="1">TODAY()</f>
        <v>36536</v>
      </c>
      <c r="F4" s="27"/>
      <c r="G4" s="26" t="s">
        <v>47</v>
      </c>
      <c r="H4" s="27"/>
      <c r="I4" s="30">
        <f>I2*F14</f>
        <v>0</v>
      </c>
    </row>
    <row r="5" spans="1:9" ht="12.75">
      <c r="A5" s="26" t="s">
        <v>19</v>
      </c>
      <c r="B5" s="20">
        <f>B23+B27</f>
        <v>43430</v>
      </c>
      <c r="C5" s="28"/>
      <c r="D5" s="27"/>
      <c r="E5" s="29"/>
      <c r="F5" s="27"/>
      <c r="G5" s="26" t="s">
        <v>48</v>
      </c>
      <c r="H5" s="27"/>
      <c r="I5" s="30">
        <v>600</v>
      </c>
    </row>
    <row r="6" spans="1:9" ht="12.75">
      <c r="A6" s="26" t="s">
        <v>20</v>
      </c>
      <c r="B6" s="20">
        <v>0</v>
      </c>
      <c r="C6" s="28"/>
      <c r="D6" s="27" t="s">
        <v>64</v>
      </c>
      <c r="E6" s="29"/>
      <c r="F6" s="27"/>
      <c r="G6" s="26" t="s">
        <v>49</v>
      </c>
      <c r="H6" s="27"/>
      <c r="I6" s="30">
        <f>E15</f>
        <v>602.4821075622222</v>
      </c>
    </row>
    <row r="7" spans="1:9" ht="12.75">
      <c r="A7" s="26" t="s">
        <v>21</v>
      </c>
      <c r="B7" s="20">
        <v>480</v>
      </c>
      <c r="C7" s="28"/>
      <c r="D7" s="27" t="s">
        <v>38</v>
      </c>
      <c r="E7" s="20">
        <f>B18</f>
        <v>43910</v>
      </c>
      <c r="F7" s="27"/>
      <c r="G7" s="26" t="s">
        <v>21</v>
      </c>
      <c r="H7" s="27"/>
      <c r="I7" s="30"/>
    </row>
    <row r="8" spans="1:9" ht="12.75">
      <c r="A8" s="26" t="s">
        <v>22</v>
      </c>
      <c r="B8" s="20">
        <v>0</v>
      </c>
      <c r="C8" s="28"/>
      <c r="D8" s="27" t="s">
        <v>39</v>
      </c>
      <c r="E8" s="20">
        <f>B24*F8</f>
        <v>31402.9</v>
      </c>
      <c r="F8" s="32">
        <v>0.67</v>
      </c>
      <c r="G8" s="26" t="s">
        <v>26</v>
      </c>
      <c r="H8" s="27"/>
      <c r="I8" s="30">
        <f>(B5-36000)*0.06</f>
        <v>445.8</v>
      </c>
    </row>
    <row r="9" spans="1:9" ht="12.75">
      <c r="A9" s="26" t="s">
        <v>23</v>
      </c>
      <c r="B9" s="20">
        <v>0</v>
      </c>
      <c r="C9" s="28"/>
      <c r="D9" s="27" t="s">
        <v>40</v>
      </c>
      <c r="E9" s="20">
        <f>E7-E8</f>
        <v>12507.099999999999</v>
      </c>
      <c r="F9" s="27"/>
      <c r="G9" s="26" t="s">
        <v>23</v>
      </c>
      <c r="H9" s="27"/>
      <c r="I9" s="28"/>
    </row>
    <row r="10" spans="1:9" ht="12.75">
      <c r="A10" s="26" t="s">
        <v>24</v>
      </c>
      <c r="B10" s="20">
        <v>0</v>
      </c>
      <c r="C10" s="28"/>
      <c r="D10" s="27"/>
      <c r="E10" s="20"/>
      <c r="F10" s="27"/>
      <c r="G10" s="26" t="s">
        <v>24</v>
      </c>
      <c r="H10" s="27"/>
      <c r="I10" s="28"/>
    </row>
    <row r="11" spans="1:9" ht="12.75">
      <c r="A11" s="26" t="s">
        <v>25</v>
      </c>
      <c r="B11" s="20">
        <v>0</v>
      </c>
      <c r="C11" s="28"/>
      <c r="D11" s="27" t="s">
        <v>41</v>
      </c>
      <c r="E11" s="20">
        <f>(E7+E8)*(E16/1000)</f>
        <v>207.86360399999998</v>
      </c>
      <c r="F11" s="27"/>
      <c r="G11" s="26" t="s">
        <v>50</v>
      </c>
      <c r="H11" s="27"/>
      <c r="I11" s="30">
        <f>B5*0.017</f>
        <v>738.3100000000001</v>
      </c>
    </row>
    <row r="12" spans="1:9" ht="12.75">
      <c r="A12" s="26"/>
      <c r="B12" s="27"/>
      <c r="C12" s="28"/>
      <c r="D12" s="27" t="s">
        <v>42</v>
      </c>
      <c r="E12" s="20">
        <f>(E7-E8)/E17</f>
        <v>347.4194444444444</v>
      </c>
      <c r="F12" s="27"/>
      <c r="G12" s="26" t="s">
        <v>25</v>
      </c>
      <c r="H12" s="27"/>
      <c r="I12" s="30"/>
    </row>
    <row r="13" spans="1:9" ht="12.75">
      <c r="A13" s="26" t="s">
        <v>26</v>
      </c>
      <c r="C13" s="28"/>
      <c r="D13" s="27" t="s">
        <v>43</v>
      </c>
      <c r="E13" s="20">
        <f>SUM(E11:E12)</f>
        <v>555.2830484444444</v>
      </c>
      <c r="F13" s="27"/>
      <c r="G13" s="26" t="s">
        <v>51</v>
      </c>
      <c r="H13" s="27"/>
      <c r="I13" s="30"/>
    </row>
    <row r="14" spans="1:9" ht="12.75">
      <c r="A14" s="26" t="s">
        <v>27</v>
      </c>
      <c r="B14" s="20">
        <f>SUM(B5:B11)</f>
        <v>43910</v>
      </c>
      <c r="C14" s="28"/>
      <c r="D14" s="27" t="s">
        <v>44</v>
      </c>
      <c r="E14" s="20">
        <f>E13*F14</f>
        <v>47.19905911777778</v>
      </c>
      <c r="F14" s="33">
        <v>0.085</v>
      </c>
      <c r="G14" s="26" t="s">
        <v>52</v>
      </c>
      <c r="H14" s="27"/>
      <c r="I14" s="30"/>
    </row>
    <row r="15" spans="1:9" ht="12.75">
      <c r="A15" s="26" t="s">
        <v>28</v>
      </c>
      <c r="B15" s="20">
        <v>0</v>
      </c>
      <c r="C15" s="28"/>
      <c r="D15" s="42" t="s">
        <v>55</v>
      </c>
      <c r="E15" s="43">
        <f>SUM(E13:E14)</f>
        <v>602.4821075622222</v>
      </c>
      <c r="G15" s="26" t="s">
        <v>53</v>
      </c>
      <c r="H15" s="27"/>
      <c r="I15" s="44">
        <f>I2+I4+I5+I6+I7+I8+I9+I10+I11+I12+I13+I14</f>
        <v>2386.5921075622223</v>
      </c>
    </row>
    <row r="16" spans="1:9" ht="12.75">
      <c r="A16" s="26" t="s">
        <v>29</v>
      </c>
      <c r="B16" s="20">
        <v>0</v>
      </c>
      <c r="C16" s="28"/>
      <c r="D16" s="27" t="s">
        <v>45</v>
      </c>
      <c r="E16" s="20">
        <v>2.76</v>
      </c>
      <c r="F16" s="27" t="s">
        <v>68</v>
      </c>
      <c r="G16" s="26"/>
      <c r="H16" s="27"/>
      <c r="I16" s="28"/>
    </row>
    <row r="17" spans="1:9" ht="12.75">
      <c r="A17" s="26" t="s">
        <v>30</v>
      </c>
      <c r="B17" s="20">
        <f>SUM(B15:B16)</f>
        <v>0</v>
      </c>
      <c r="C17" s="28"/>
      <c r="D17" s="34" t="s">
        <v>46</v>
      </c>
      <c r="E17" s="35">
        <v>36</v>
      </c>
      <c r="F17" s="34"/>
      <c r="G17" s="26"/>
      <c r="H17" s="27"/>
      <c r="I17" s="28"/>
    </row>
    <row r="18" spans="1:9" ht="12.75">
      <c r="A18" s="36" t="s">
        <v>31</v>
      </c>
      <c r="B18" s="37">
        <f>B14-B17</f>
        <v>43910</v>
      </c>
      <c r="C18" s="38"/>
      <c r="D18" s="27"/>
      <c r="E18" s="27"/>
      <c r="F18" s="27"/>
      <c r="G18" s="26" t="s">
        <v>63</v>
      </c>
      <c r="H18" s="27"/>
      <c r="I18" s="28"/>
    </row>
    <row r="19" spans="1:9" ht="12.75">
      <c r="A19" s="22"/>
      <c r="B19" s="23"/>
      <c r="C19" s="24"/>
      <c r="D19" s="27"/>
      <c r="E19" s="27"/>
      <c r="F19" s="27"/>
      <c r="G19" s="26" t="s">
        <v>57</v>
      </c>
      <c r="H19" s="27"/>
      <c r="I19" s="30">
        <f>E14*E17</f>
        <v>1699.16612824</v>
      </c>
    </row>
    <row r="20" spans="1:9" ht="12.75">
      <c r="A20" s="26" t="s">
        <v>32</v>
      </c>
      <c r="B20" s="27"/>
      <c r="C20" s="28"/>
      <c r="D20" s="27" t="s">
        <v>67</v>
      </c>
      <c r="E20" s="27"/>
      <c r="F20" s="27"/>
      <c r="G20" s="26" t="s">
        <v>58</v>
      </c>
      <c r="H20" s="27"/>
      <c r="I20" s="30">
        <f>I4</f>
        <v>0</v>
      </c>
    </row>
    <row r="21" spans="1:9" ht="12.75">
      <c r="A21" s="26" t="s">
        <v>33</v>
      </c>
      <c r="B21" s="27"/>
      <c r="C21" s="28"/>
      <c r="D21" s="27"/>
      <c r="E21" s="27"/>
      <c r="F21" s="27"/>
      <c r="G21" s="26" t="s">
        <v>54</v>
      </c>
      <c r="H21" s="27"/>
      <c r="I21" s="30">
        <f>SUM(I19:I20)</f>
        <v>1699.16612824</v>
      </c>
    </row>
    <row r="22" spans="1:9" ht="12.75">
      <c r="A22" s="26" t="s">
        <v>73</v>
      </c>
      <c r="B22" s="27"/>
      <c r="C22" s="28"/>
      <c r="D22" s="27" t="s">
        <v>23</v>
      </c>
      <c r="E22" s="27"/>
      <c r="F22" s="27"/>
      <c r="G22" s="26" t="s">
        <v>59</v>
      </c>
      <c r="H22" s="27"/>
      <c r="I22" s="30">
        <f>(I11*(E17/12))</f>
        <v>2214.9300000000003</v>
      </c>
    </row>
    <row r="23" spans="1:9" ht="12.75">
      <c r="A23" s="26" t="s">
        <v>62</v>
      </c>
      <c r="B23" s="20">
        <f>'528i'!B14</f>
        <v>41930</v>
      </c>
      <c r="C23" s="28"/>
      <c r="D23" s="27" t="s">
        <v>65</v>
      </c>
      <c r="E23" s="27"/>
      <c r="F23" s="27"/>
      <c r="G23" s="26" t="s">
        <v>60</v>
      </c>
      <c r="H23" s="27"/>
      <c r="I23" s="30">
        <f>I22+I21</f>
        <v>3914.0961282400003</v>
      </c>
    </row>
    <row r="24" spans="1:9" ht="12.75">
      <c r="A24" s="36" t="s">
        <v>2</v>
      </c>
      <c r="B24" s="37">
        <f>'528i'!C14</f>
        <v>46870</v>
      </c>
      <c r="C24" s="38"/>
      <c r="D24" s="34" t="s">
        <v>66</v>
      </c>
      <c r="E24" s="34"/>
      <c r="F24" s="34"/>
      <c r="G24" s="36" t="s">
        <v>61</v>
      </c>
      <c r="H24" s="34"/>
      <c r="I24" s="39">
        <f>(E17*E15)+E8</f>
        <v>53092.25587224</v>
      </c>
    </row>
    <row r="26" ht="12.75">
      <c r="A26" s="1" t="s">
        <v>70</v>
      </c>
    </row>
    <row r="27" spans="1:7" ht="12.75">
      <c r="A27" s="16" t="s">
        <v>71</v>
      </c>
      <c r="B27" s="21">
        <v>1500</v>
      </c>
      <c r="C27" s="40">
        <f>(B27/B23)</f>
        <v>0.03577390889577868</v>
      </c>
      <c r="D27" s="16" t="s">
        <v>69</v>
      </c>
      <c r="G27" s="21"/>
    </row>
  </sheetData>
  <printOptions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V. Roberts</dc:creator>
  <cp:keywords/>
  <dc:description/>
  <cp:lastModifiedBy>Jeffrey V. Roberts</cp:lastModifiedBy>
  <cp:lastPrinted>1999-02-26T19:58:33Z</cp:lastPrinted>
  <dcterms:created xsi:type="dcterms:W3CDTF">1998-05-04T20:25:55Z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